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45" yWindow="-30" windowWidth="12585" windowHeight="13095"/>
  </bookViews>
  <sheets>
    <sheet name="2013 data table 6-7" sheetId="1" r:id="rId1"/>
    <sheet name="6-7 Backup data" sheetId="2" r:id="rId2"/>
  </sheets>
  <calcPr calcId="145621"/>
  <customWorkbookViews>
    <customWorkbookView name="Lori Coward - Personal View" guid="{3F1948D3-7A77-49FA-8683-88C42F48218E}" mergeInterval="0" personalView="1" maximized="1" windowWidth="1887" windowHeight="840" activeSheetId="1"/>
    <customWorkbookView name="Tim Jannik - Personal View" guid="{18171B3D-97D9-4E22-AFC9-A8C0E28D5DD4}" mergeInterval="0" personalView="1" xWindow="7" yWindow="30" windowWidth="819" windowHeight="831" activeSheetId="1"/>
    <customWorkbookView name="Windows User - Personal View" guid="{5FA20952-9BBD-44D2-970E-DA7EA3E10244}" mergeInterval="0" personalView="1" xWindow="7" yWindow="20" windowWidth="935" windowHeight="750" activeSheetId="1"/>
    <customWorkbookView name="o9913 - Personal View" guid="{A6AA7415-0AD7-4319-BCFB-E8006215A3E4}" mergeInterval="0" personalView="1" xWindow="86" yWindow="32" windowWidth="894" windowHeight="779" activeSheetId="1" showStatusbar="0" showComments="commIndAndComment"/>
    <customWorkbookView name="g1577 - Personal View" guid="{36AFB31B-B3E5-480B-92F9-BE5FA60B8F95}" mergeInterval="0" personalView="1" maximized="1" windowWidth="1403" windowHeight="737" activeSheetId="1"/>
    <customWorkbookView name="c5561 - Personal View" guid="{987FE8D4-A9A3-47E1-A507-7DFB6177D6D7}" mergeInterval="0" personalView="1" xWindow="352" yWindow="39" windowWidth="717" windowHeight="786" activeSheetId="1"/>
    <customWorkbookView name="JANNIK, GERALD T - Personal View" guid="{70E017E5-BB13-4673-A7AD-6B6A9E1D5706}" mergeInterval="0" personalView="1" xWindow="64" yWindow="38" windowWidth="1388" windowHeight="685" activeSheetId="1" showComments="commIndAndComment"/>
  </customWorkbookViews>
</workbook>
</file>

<file path=xl/calcChain.xml><?xml version="1.0" encoding="utf-8"?>
<calcChain xmlns="http://schemas.openxmlformats.org/spreadsheetml/2006/main">
  <c r="Q4" i="2" l="1"/>
  <c r="P5" i="2"/>
  <c r="P7" i="2"/>
  <c r="P8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P15" i="2"/>
  <c r="Q15" i="2"/>
  <c r="P16" i="2"/>
  <c r="Q16" i="2"/>
  <c r="Q17" i="2"/>
  <c r="P18" i="2"/>
  <c r="Q18" i="2"/>
  <c r="P19" i="2"/>
  <c r="Q19" i="2"/>
  <c r="P20" i="2"/>
  <c r="Q20" i="2"/>
  <c r="P21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B34" i="2"/>
  <c r="D34" i="2"/>
  <c r="G34" i="2"/>
  <c r="P34" i="2"/>
  <c r="Q34" i="2"/>
  <c r="R34" i="2"/>
  <c r="B40" i="2"/>
  <c r="G40" i="2"/>
  <c r="R40" i="2"/>
  <c r="B8" i="1"/>
  <c r="C8" i="1"/>
  <c r="F8" i="1" s="1"/>
  <c r="D8" i="1"/>
  <c r="E8" i="1"/>
  <c r="B9" i="1"/>
  <c r="F9" i="1" s="1"/>
  <c r="C9" i="1"/>
  <c r="B10" i="1"/>
  <c r="C10" i="1"/>
  <c r="F10" i="1" s="1"/>
  <c r="C11" i="1"/>
  <c r="F11" i="1"/>
  <c r="C12" i="1"/>
  <c r="F12" i="1"/>
  <c r="B13" i="1"/>
  <c r="C13" i="1"/>
  <c r="B14" i="1"/>
  <c r="F14" i="1" s="1"/>
  <c r="C14" i="1"/>
  <c r="B15" i="1"/>
  <c r="C15" i="1"/>
  <c r="F15" i="1"/>
  <c r="B16" i="1"/>
  <c r="C16" i="1"/>
  <c r="F16" i="1"/>
  <c r="C17" i="1"/>
  <c r="F17" i="1" s="1"/>
  <c r="B18" i="1"/>
  <c r="C18" i="1"/>
  <c r="F18" i="1"/>
  <c r="B19" i="1"/>
  <c r="C19" i="1"/>
  <c r="F19" i="1"/>
  <c r="B20" i="1"/>
  <c r="F20" i="1" s="1"/>
  <c r="C20" i="1"/>
  <c r="C21" i="1"/>
  <c r="F21" i="1"/>
  <c r="B22" i="1"/>
  <c r="C22" i="1"/>
  <c r="F22" i="1"/>
  <c r="B23" i="1"/>
  <c r="F23" i="1" s="1"/>
  <c r="C23" i="1"/>
  <c r="D23" i="1"/>
  <c r="B24" i="1"/>
  <c r="C24" i="1"/>
  <c r="D24" i="1"/>
  <c r="E24" i="1"/>
</calcChain>
</file>

<file path=xl/sharedStrings.xml><?xml version="1.0" encoding="utf-8"?>
<sst xmlns="http://schemas.openxmlformats.org/spreadsheetml/2006/main" count="140" uniqueCount="69">
  <si>
    <t>Nuclide</t>
  </si>
  <si>
    <t>Sr-90</t>
  </si>
  <si>
    <t>I-129</t>
  </si>
  <si>
    <t>U-234</t>
  </si>
  <si>
    <t>U-235</t>
  </si>
  <si>
    <t>U-238</t>
  </si>
  <si>
    <t>Pu-238</t>
  </si>
  <si>
    <t>Pu-239</t>
  </si>
  <si>
    <t>Am-241</t>
  </si>
  <si>
    <t>Cm-244</t>
  </si>
  <si>
    <t>Tc-99</t>
  </si>
  <si>
    <t xml:space="preserve">c,d) For dose calculations, unspecified alpha and beta/gamma releases are assumed to be </t>
  </si>
  <si>
    <t xml:space="preserve">     Pu-239 and Sr-90, respectively.</t>
  </si>
  <si>
    <t>Totals</t>
  </si>
  <si>
    <t xml:space="preserve">b)   Depending on which value is higher, the Cs-137 release total is based on concentrations measured in RM 118.8 fish </t>
  </si>
  <si>
    <t xml:space="preserve">    or on the actual measured effluent release total from the site. Refer to chapter 6 (Dose) for more information.</t>
  </si>
  <si>
    <t>Np-237</t>
  </si>
  <si>
    <t>C-14</t>
  </si>
  <si>
    <t>Upper Three</t>
  </si>
  <si>
    <t>Runs</t>
  </si>
  <si>
    <t>A,M,F,H</t>
  </si>
  <si>
    <t>Fourmile</t>
  </si>
  <si>
    <t>F,H,Tritium</t>
  </si>
  <si>
    <t>Branch</t>
  </si>
  <si>
    <t xml:space="preserve"> Pen Branch</t>
  </si>
  <si>
    <t>Steel Creek +</t>
  </si>
  <si>
    <t>K,L</t>
  </si>
  <si>
    <t>Lower Three</t>
  </si>
  <si>
    <t>P,R</t>
  </si>
  <si>
    <r>
      <t>H-3</t>
    </r>
    <r>
      <rPr>
        <vertAlign val="superscript"/>
        <sz val="10"/>
        <rFont val="Geneva"/>
      </rPr>
      <t>a</t>
    </r>
  </si>
  <si>
    <r>
      <t>Cs-137</t>
    </r>
    <r>
      <rPr>
        <vertAlign val="superscript"/>
        <sz val="10"/>
        <rFont val="Geneva"/>
      </rPr>
      <t>b</t>
    </r>
  </si>
  <si>
    <r>
      <t>Alpha</t>
    </r>
    <r>
      <rPr>
        <vertAlign val="superscript"/>
        <sz val="10"/>
        <rFont val="Geneva"/>
      </rPr>
      <t>c</t>
    </r>
  </si>
  <si>
    <r>
      <t>Beta-Gamma</t>
    </r>
    <r>
      <rPr>
        <vertAlign val="superscript"/>
        <sz val="10"/>
        <rFont val="Geneva"/>
      </rPr>
      <t>d</t>
    </r>
  </si>
  <si>
    <t>Volume</t>
  </si>
  <si>
    <t>H-3</t>
  </si>
  <si>
    <t>Cs-137</t>
  </si>
  <si>
    <t>Alpha</t>
  </si>
  <si>
    <t>Beta</t>
  </si>
  <si>
    <t xml:space="preserve"> (Liters)</t>
  </si>
  <si>
    <t>HP-15 (44)</t>
  </si>
  <si>
    <t>H-004  (1782)</t>
  </si>
  <si>
    <t>U3R-2A  (47)</t>
  </si>
  <si>
    <t>TB-2  (SDN-1)</t>
  </si>
  <si>
    <t>HP-52  (21)</t>
  </si>
  <si>
    <t>FM-1C  (10)</t>
  </si>
  <si>
    <t>H-017  (1417)</t>
  </si>
  <si>
    <t>F Migration</t>
  </si>
  <si>
    <t>K-Canal (1443)</t>
  </si>
  <si>
    <t>PB-3 (36) - Migration in PB</t>
  </si>
  <si>
    <t>L-07 (1455)</t>
  </si>
  <si>
    <t>SC-4 (30) - Transport in SC</t>
  </si>
  <si>
    <t>L3R-2  (2) - Transport in L3R</t>
  </si>
  <si>
    <t>Flow Volume (L)</t>
  </si>
  <si>
    <t>Data Table 6-7, Radioactive Liquid Releases by Site Stream - (Curies)</t>
  </si>
  <si>
    <t>Migration into U3R</t>
  </si>
  <si>
    <t>2013 Direct Effluent and Migration/Transport Releases Into Upper Three Runs (Curies)</t>
  </si>
  <si>
    <t>2013 Direct Effluent and Migration/Transport Releases Into Four Mile Branch (Curies)</t>
  </si>
  <si>
    <t>2013 Direct Effluent and Migration/Transport Releases Into Steel Creek and Pen Branch (Curies)</t>
  </si>
  <si>
    <t>2013 Transport Releases Into Lower Three Runs (Curies)</t>
  </si>
  <si>
    <t>FM-3 (SDN 12)</t>
  </si>
  <si>
    <t>F-012  (SDN 1448)</t>
  </si>
  <si>
    <t>F-013  (SDN 1449)</t>
  </si>
  <si>
    <t>F-05  (SDN 2416)</t>
  </si>
  <si>
    <t>H #4  &amp; SWDF Migration</t>
  </si>
  <si>
    <t>H-Seepage Migration</t>
  </si>
  <si>
    <t>S-004  (SDN 1740)</t>
  </si>
  <si>
    <t>a) The tritium release total includes direct + migration releases which are used in the dose calclulations for SRS impacts.</t>
  </si>
  <si>
    <t>(FM-6 flow)</t>
  </si>
  <si>
    <t>(U3R-4 flow)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</si>
</sst>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6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Geneva"/>
    </font>
    <font>
      <sz val="8"/>
      <name val="Geneva"/>
    </font>
    <font>
      <sz val="9"/>
      <name val="Geneva"/>
    </font>
    <font>
      <sz val="12"/>
      <name val="Geneva"/>
    </font>
    <font>
      <u/>
      <sz val="12"/>
      <name val="Geneva"/>
    </font>
    <font>
      <vertAlign val="superscript"/>
      <sz val="10"/>
      <name val="Geneva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8"/>
      <name val="Geneva"/>
    </font>
    <font>
      <sz val="8"/>
      <color rgb="FFFF0000"/>
      <name val="Geneva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11" fontId="2" fillId="0" borderId="0"/>
    <xf numFmtId="11" fontId="2" fillId="0" borderId="0"/>
    <xf numFmtId="11" fontId="2" fillId="0" borderId="0"/>
    <xf numFmtId="11" fontId="2" fillId="0" borderId="0"/>
    <xf numFmtId="0" fontId="2" fillId="0" borderId="0"/>
    <xf numFmtId="0" fontId="2" fillId="0" borderId="0"/>
    <xf numFmtId="0" fontId="2" fillId="0" borderId="0"/>
    <xf numFmtId="11" fontId="2" fillId="0" borderId="0"/>
    <xf numFmtId="0" fontId="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Fill="1" applyBorder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3" fillId="0" borderId="2" xfId="0" applyFont="1" applyBorder="1"/>
    <xf numFmtId="0" fontId="7" fillId="0" borderId="2" xfId="0" applyFont="1" applyBorder="1"/>
    <xf numFmtId="0" fontId="6" fillId="0" borderId="2" xfId="0" applyFont="1" applyBorder="1"/>
    <xf numFmtId="0" fontId="3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left"/>
    </xf>
    <xf numFmtId="11" fontId="10" fillId="0" borderId="0" xfId="0" applyNumberFormat="1" applyFont="1" applyAlignment="1">
      <alignment horizontal="center"/>
    </xf>
    <xf numFmtId="11" fontId="11" fillId="0" borderId="0" xfId="0" applyNumberFormat="1" applyFont="1" applyAlignment="1">
      <alignment horizontal="center"/>
    </xf>
    <xf numFmtId="11" fontId="10" fillId="0" borderId="0" xfId="0" applyNumberFormat="1" applyFont="1" applyFill="1" applyBorder="1" applyAlignment="1">
      <alignment horizontal="center"/>
    </xf>
    <xf numFmtId="0" fontId="10" fillId="0" borderId="0" xfId="0" applyFont="1"/>
    <xf numFmtId="11" fontId="10" fillId="0" borderId="0" xfId="0" applyNumberFormat="1" applyFont="1"/>
    <xf numFmtId="0" fontId="12" fillId="0" borderId="0" xfId="12" applyFont="1" applyAlignment="1">
      <alignment horizontal="right"/>
    </xf>
    <xf numFmtId="11" fontId="11" fillId="0" borderId="0" xfId="12" applyNumberFormat="1" applyFont="1" applyAlignment="1">
      <alignment horizontal="center"/>
    </xf>
    <xf numFmtId="0" fontId="12" fillId="0" borderId="0" xfId="12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11" fontId="0" fillId="0" borderId="0" xfId="0" applyNumberFormat="1" applyFont="1" applyFill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1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1" fontId="4" fillId="0" borderId="0" xfId="0" applyNumberFormat="1" applyFont="1" applyFill="1" applyAlignment="1">
      <alignment horizontal="center"/>
    </xf>
    <xf numFmtId="11" fontId="4" fillId="0" borderId="0" xfId="11" applyNumberFormat="1" applyFont="1" applyFill="1" applyAlignment="1">
      <alignment horizontal="center"/>
    </xf>
    <xf numFmtId="11" fontId="13" fillId="0" borderId="0" xfId="0" applyNumberFormat="1" applyFont="1" applyAlignment="1">
      <alignment horizontal="center"/>
    </xf>
    <xf numFmtId="11" fontId="13" fillId="0" borderId="0" xfId="12" applyNumberFormat="1" applyFont="1" applyAlignment="1">
      <alignment horizontal="center"/>
    </xf>
    <xf numFmtId="0" fontId="14" fillId="0" borderId="0" xfId="0" applyFont="1" applyAlignment="1">
      <alignment horizontal="left"/>
    </xf>
    <xf numFmtId="11" fontId="4" fillId="0" borderId="0" xfId="11" applyNumberFormat="1" applyFont="1" applyFill="1" applyBorder="1" applyAlignment="1">
      <alignment horizontal="center"/>
    </xf>
    <xf numFmtId="11" fontId="4" fillId="0" borderId="0" xfId="11" applyNumberFormat="1" applyFont="1" applyFill="1" applyBorder="1"/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Fill="1"/>
    <xf numFmtId="0" fontId="11" fillId="0" borderId="0" xfId="0" applyFont="1" applyFill="1" applyBorder="1" applyAlignment="1">
      <alignment horizontal="left"/>
    </xf>
    <xf numFmtId="11" fontId="4" fillId="0" borderId="0" xfId="3" applyFont="1" applyFill="1" applyAlignment="1">
      <alignment horizontal="center"/>
    </xf>
    <xf numFmtId="11" fontId="4" fillId="0" borderId="0" xfId="5" applyNumberFormat="1" applyFont="1" applyFill="1" applyAlignment="1">
      <alignment horizontal="center"/>
    </xf>
    <xf numFmtId="0" fontId="11" fillId="0" borderId="0" xfId="0" applyFont="1"/>
    <xf numFmtId="11" fontId="11" fillId="3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11" fontId="4" fillId="2" borderId="0" xfId="11" applyNumberFormat="1" applyFont="1" applyFill="1" applyAlignment="1">
      <alignment horizontal="center"/>
    </xf>
    <xf numFmtId="164" fontId="4" fillId="2" borderId="0" xfId="11" applyNumberFormat="1" applyFont="1" applyFill="1" applyAlignment="1">
      <alignment horizontal="center"/>
    </xf>
    <xf numFmtId="11" fontId="4" fillId="2" borderId="0" xfId="0" applyNumberFormat="1" applyFont="1" applyFill="1" applyAlignment="1">
      <alignment horizontal="center"/>
    </xf>
    <xf numFmtId="11" fontId="4" fillId="2" borderId="0" xfId="8" applyNumberFormat="1" applyFont="1" applyFill="1" applyBorder="1" applyAlignment="1">
      <alignment horizontal="center"/>
    </xf>
    <xf numFmtId="11" fontId="4" fillId="2" borderId="0" xfId="0" applyNumberFormat="1" applyFont="1" applyFill="1" applyBorder="1" applyAlignment="1">
      <alignment horizontal="center"/>
    </xf>
    <xf numFmtId="11" fontId="11" fillId="2" borderId="0" xfId="0" applyNumberFormat="1" applyFont="1" applyFill="1" applyAlignment="1">
      <alignment horizontal="left"/>
    </xf>
    <xf numFmtId="11" fontId="4" fillId="2" borderId="0" xfId="2" applyFont="1" applyFill="1" applyAlignment="1">
      <alignment horizontal="center"/>
    </xf>
    <xf numFmtId="11" fontId="4" fillId="2" borderId="0" xfId="0" applyNumberFormat="1" applyFont="1" applyFill="1" applyBorder="1"/>
    <xf numFmtId="11" fontId="4" fillId="2" borderId="0" xfId="2" applyFont="1" applyFill="1" applyBorder="1" applyAlignment="1">
      <alignment horizontal="center"/>
    </xf>
    <xf numFmtId="11" fontId="10" fillId="2" borderId="0" xfId="4" applyFont="1" applyFill="1" applyBorder="1" applyAlignment="1">
      <alignment horizontal="center"/>
    </xf>
    <xf numFmtId="11" fontId="10" fillId="2" borderId="0" xfId="8" applyNumberFormat="1" applyFont="1" applyFill="1" applyAlignment="1">
      <alignment horizontal="center"/>
    </xf>
    <xf numFmtId="11" fontId="10" fillId="2" borderId="0" xfId="0" applyNumberFormat="1" applyFont="1" applyFill="1" applyAlignment="1">
      <alignment horizontal="center"/>
    </xf>
    <xf numFmtId="11" fontId="10" fillId="2" borderId="0" xfId="0" applyNumberFormat="1" applyFont="1" applyFill="1" applyBorder="1" applyAlignment="1">
      <alignment horizontal="center"/>
    </xf>
    <xf numFmtId="11" fontId="4" fillId="2" borderId="0" xfId="11" applyNumberFormat="1" applyFont="1" applyFill="1" applyBorder="1" applyAlignment="1">
      <alignment horizontal="center"/>
    </xf>
    <xf numFmtId="11" fontId="4" fillId="2" borderId="0" xfId="11" applyNumberFormat="1" applyFont="1" applyFill="1" applyBorder="1"/>
    <xf numFmtId="0" fontId="11" fillId="2" borderId="0" xfId="0" applyFont="1" applyFill="1" applyBorder="1" applyAlignment="1">
      <alignment horizontal="left"/>
    </xf>
    <xf numFmtId="11" fontId="4" fillId="2" borderId="0" xfId="2" applyNumberFormat="1" applyFont="1" applyFill="1" applyAlignment="1">
      <alignment horizontal="center"/>
    </xf>
    <xf numFmtId="0" fontId="4" fillId="2" borderId="0" xfId="0" applyFont="1" applyFill="1"/>
    <xf numFmtId="11" fontId="4" fillId="2" borderId="0" xfId="9" applyFont="1" applyFill="1" applyAlignment="1">
      <alignment horizontal="center"/>
    </xf>
    <xf numFmtId="2" fontId="4" fillId="2" borderId="0" xfId="9" applyNumberFormat="1" applyFont="1" applyFill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horizontal="left"/>
    </xf>
    <xf numFmtId="11" fontId="10" fillId="0" borderId="0" xfId="10" applyNumberFormat="1" applyFont="1" applyFill="1" applyBorder="1" applyAlignment="1">
      <alignment horizontal="center"/>
    </xf>
    <xf numFmtId="11" fontId="10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11" fontId="10" fillId="2" borderId="0" xfId="10" applyNumberFormat="1" applyFont="1" applyFill="1" applyBorder="1" applyAlignment="1">
      <alignment horizontal="center"/>
    </xf>
    <xf numFmtId="11" fontId="10" fillId="2" borderId="0" xfId="1" applyNumberFormat="1" applyFont="1" applyFill="1" applyBorder="1" applyAlignment="1">
      <alignment horizontal="center"/>
    </xf>
    <xf numFmtId="11" fontId="10" fillId="0" borderId="0" xfId="6" applyNumberFormat="1" applyFont="1" applyFill="1" applyBorder="1" applyAlignment="1">
      <alignment horizontal="center"/>
    </xf>
    <xf numFmtId="11" fontId="10" fillId="0" borderId="0" xfId="7" applyNumberFormat="1" applyFont="1" applyFill="1" applyBorder="1" applyAlignment="1">
      <alignment horizontal="center"/>
    </xf>
    <xf numFmtId="11" fontId="10" fillId="2" borderId="0" xfId="6" applyNumberFormat="1" applyFont="1" applyFill="1" applyBorder="1" applyAlignment="1">
      <alignment horizontal="center"/>
    </xf>
    <xf numFmtId="11" fontId="10" fillId="2" borderId="0" xfId="7" applyNumberFormat="1" applyFont="1" applyFill="1" applyBorder="1" applyAlignment="1">
      <alignment horizontal="center"/>
    </xf>
    <xf numFmtId="11" fontId="12" fillId="0" borderId="0" xfId="12" applyNumberFormat="1" applyFont="1" applyAlignment="1">
      <alignment horizontal="right"/>
    </xf>
    <xf numFmtId="11" fontId="11" fillId="0" borderId="0" xfId="0" applyNumberFormat="1" applyFont="1" applyFill="1" applyBorder="1" applyAlignment="1">
      <alignment horizontal="center"/>
    </xf>
    <xf numFmtId="11" fontId="4" fillId="0" borderId="0" xfId="0" applyNumberFormat="1" applyFont="1"/>
    <xf numFmtId="0" fontId="11" fillId="0" borderId="0" xfId="0" applyFont="1" applyAlignment="1">
      <alignment horizontal="left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2" borderId="0" xfId="0" applyFont="1" applyFill="1" applyBorder="1"/>
    <xf numFmtId="11" fontId="13" fillId="2" borderId="0" xfId="12" applyNumberFormat="1" applyFont="1" applyFill="1" applyAlignment="1">
      <alignment horizontal="center"/>
    </xf>
    <xf numFmtId="11" fontId="13" fillId="2" borderId="0" xfId="0" applyNumberFormat="1" applyFont="1" applyFill="1" applyAlignment="1">
      <alignment horizontal="center"/>
    </xf>
    <xf numFmtId="11" fontId="0" fillId="2" borderId="0" xfId="0" applyNumberFormat="1" applyFont="1" applyFill="1" applyBorder="1" applyAlignment="1">
      <alignment horizontal="center"/>
    </xf>
    <xf numFmtId="11" fontId="1" fillId="2" borderId="0" xfId="0" applyNumberFormat="1" applyFont="1" applyFill="1" applyBorder="1" applyAlignment="1">
      <alignment horizontal="center"/>
    </xf>
  </cellXfs>
  <cellStyles count="13">
    <cellStyle name="Normal" xfId="0" builtinId="0"/>
    <cellStyle name="Normal 16" xfId="1"/>
    <cellStyle name="Normal 28" xfId="2"/>
    <cellStyle name="Normal 32" xfId="3"/>
    <cellStyle name="Normal 34" xfId="4"/>
    <cellStyle name="Normal 59" xfId="5"/>
    <cellStyle name="Normal 7" xfId="6"/>
    <cellStyle name="Normal 8" xfId="7"/>
    <cellStyle name="Normal_A-Area  (2008)" xfId="8"/>
    <cellStyle name="Normal_F and H Seepage Basins (2008)" xfId="9"/>
    <cellStyle name="Normal_Rx (2008)" xfId="10"/>
    <cellStyle name="Normal_Separations (2008)" xfId="11"/>
    <cellStyle name="Normal_Sheet1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5" Type="http://schemas.openxmlformats.org/officeDocument/2006/relationships/revisionLog" Target="revisionLog4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3991B1F-6B8C-41F2-A253-00B468D28ADE}" diskRevisions="1" revisionId="1185" version="5">
  <header guid="{67E2ED01-01D1-4A3E-B61E-CA51A6B0C4AC}" dateTime="2014-07-14T12:04:42" maxSheetId="3" userName="Lori Coward" r:id="rId2">
    <sheetIdMap count="2">
      <sheetId val="1"/>
      <sheetId val="2"/>
    </sheetIdMap>
  </header>
  <header guid="{AD907097-A7F4-4E42-91C5-D30463138862}" dateTime="2014-07-14T12:05:12" maxSheetId="3" userName="Lori Coward" r:id="rId3">
    <sheetIdMap count="2">
      <sheetId val="1"/>
      <sheetId val="2"/>
    </sheetIdMap>
  </header>
  <header guid="{836261D4-C03B-42BC-BB1A-1FFF7788B2BD}" dateTime="2014-07-14T14:49:12" maxSheetId="3" userName="Lori Coward" r:id="rId4">
    <sheetIdMap count="2">
      <sheetId val="1"/>
      <sheetId val="2"/>
    </sheetIdMap>
  </header>
  <header guid="{63991B1F-6B8C-41F2-A253-00B468D28ADE}" dateTime="2014-07-14T16:05:20" maxSheetId="3" userName="Lori Coward" r:id="rId5" minRId="118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3:R3 R2">
    <dxf>
      <fill>
        <patternFill patternType="solid">
          <bgColor theme="3" tint="0.59999389629810485"/>
        </patternFill>
      </fill>
    </dxf>
  </rfmt>
  <rfmt sheetId="2" sqref="B14:R14 R13">
    <dxf>
      <fill>
        <patternFill patternType="solid">
          <bgColor theme="3" tint="0.59999389629810485"/>
        </patternFill>
      </fill>
    </dxf>
  </rfmt>
  <rfmt sheetId="2" sqref="B29:R29 R28">
    <dxf>
      <fill>
        <patternFill patternType="solid">
          <bgColor theme="3" tint="0.59999389629810485"/>
        </patternFill>
      </fill>
    </dxf>
  </rfmt>
  <rfmt sheetId="2" sqref="B38:R38 R37">
    <dxf>
      <fill>
        <patternFill patternType="solid">
          <bgColor theme="3" tint="0.59999389629810485"/>
        </patternFill>
      </fill>
    </dxf>
  </rfmt>
  <rfmt sheetId="2" sqref="A5:R5 A7:R7 A9:R9">
    <dxf>
      <fill>
        <patternFill patternType="solid">
          <bgColor theme="3" tint="0.79998168889431442"/>
        </patternFill>
      </fill>
    </dxf>
  </rfmt>
  <rfmt sheetId="2" sqref="A16:R16 A18:R18 A20:R20 A22:R22 A24:R24">
    <dxf>
      <fill>
        <patternFill patternType="solid">
          <bgColor theme="3" tint="0.79998168889431442"/>
        </patternFill>
      </fill>
    </dxf>
  </rfmt>
  <rfmt sheetId="2" sqref="A31:R31 A33:R33">
    <dxf>
      <fill>
        <patternFill patternType="solid">
          <bgColor theme="3" tint="0.79998168889431442"/>
        </patternFill>
      </fill>
    </dxf>
  </rfmt>
  <rfmt sheetId="2" sqref="A30:R34" start="0" length="2147483647">
    <dxf>
      <font>
        <sz val="8"/>
      </font>
    </dxf>
  </rfmt>
  <rfmt sheetId="2" sqref="A39:R39" start="0" length="2147483647">
    <dxf>
      <font>
        <sz val="8"/>
      </font>
    </dxf>
  </rfmt>
  <rfmt sheetId="2" sqref="A40:XFD40" start="0" length="2147483647">
    <dxf>
      <font>
        <sz val="8"/>
      </font>
    </dxf>
  </rfmt>
  <rfmt sheetId="2" sqref="A25:XFD25" start="0" length="2147483647">
    <dxf>
      <font>
        <sz val="9"/>
      </font>
    </dxf>
  </rfmt>
  <rfmt sheetId="2" sqref="A10:XFD10" start="0" length="2147483647">
    <dxf>
      <font>
        <sz val="9"/>
      </font>
    </dxf>
  </rfmt>
  <rfmt sheetId="2" sqref="A3:XFD40" start="0" length="2147483647">
    <dxf>
      <font>
        <sz val="8"/>
      </font>
    </dxf>
  </rfmt>
  <rcv guid="{3F1948D3-7A77-49FA-8683-88C42F48218E}" action="delete"/>
  <rcv guid="{3F1948D3-7A77-49FA-8683-88C42F48218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F1948D3-7A77-49FA-8683-88C42F48218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F1948D3-7A77-49FA-8683-88C42F48218E}" action="delete"/>
  <rcv guid="{3F1948D3-7A77-49FA-8683-88C42F48218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F7">
    <dxf>
      <fill>
        <patternFill patternType="solid">
          <bgColor theme="3" tint="0.59999389629810485"/>
        </patternFill>
      </fill>
    </dxf>
  </rfmt>
  <rrc rId="1185" sId="1" ref="A8:XFD8" action="deleteRow">
    <rfmt sheetId="1" xfDxf="1" sqref="A8:XFD8" start="0" length="0"/>
    <rfmt sheetId="1" sqref="A8" start="0" length="0">
      <dxf>
        <font>
          <sz val="12"/>
          <color auto="1"/>
          <name val="Geneva"/>
          <scheme val="none"/>
        </font>
      </dxf>
    </rfmt>
    <rfmt sheetId="1" sqref="B8" start="0" length="0">
      <dxf>
        <font>
          <sz val="12"/>
          <color auto="1"/>
          <name val="Geneva"/>
          <scheme val="none"/>
        </font>
      </dxf>
    </rfmt>
    <rfmt sheetId="1" sqref="C8" start="0" length="0">
      <dxf>
        <font>
          <sz val="12"/>
          <color auto="1"/>
          <name val="Geneva"/>
          <scheme val="none"/>
        </font>
      </dxf>
    </rfmt>
    <rfmt sheetId="1" sqref="D8" start="0" length="0">
      <dxf>
        <font>
          <sz val="12"/>
          <color auto="1"/>
          <name val="Geneva"/>
          <scheme val="none"/>
        </font>
      </dxf>
    </rfmt>
    <rfmt sheetId="1" sqref="E8" start="0" length="0">
      <dxf>
        <font>
          <sz val="12"/>
          <color auto="1"/>
          <name val="Geneva"/>
          <scheme val="none"/>
        </font>
      </dxf>
    </rfmt>
    <rfmt sheetId="1" sqref="F8" start="0" length="0">
      <dxf>
        <font>
          <sz val="12"/>
          <color auto="1"/>
          <name val="Geneva"/>
          <scheme val="none"/>
        </font>
        <numFmt numFmtId="15" formatCode="0.00E+00"/>
      </dxf>
    </rfmt>
  </rrc>
  <rfmt sheetId="1" sqref="A9:F9 A11:F11 A13:F13 A15:F15 A17:F17 A19:F19 A21:F21 A23:F23">
    <dxf>
      <fill>
        <patternFill patternType="solid">
          <bgColor theme="3" tint="0.79998168889431442"/>
        </patternFill>
      </fill>
    </dxf>
  </rfmt>
  <rcv guid="{3F1948D3-7A77-49FA-8683-88C42F48218E}" action="delete"/>
  <rcv guid="{3F1948D3-7A77-49FA-8683-88C42F48218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K16" sqref="K16"/>
    </sheetView>
  </sheetViews>
  <sheetFormatPr defaultColWidth="9.7109375" defaultRowHeight="15" customHeight="1"/>
  <cols>
    <col min="1" max="1" width="15.42578125" style="3" customWidth="1"/>
    <col min="2" max="2" width="14.28515625" style="3" customWidth="1"/>
    <col min="3" max="3" width="16.7109375" style="3" customWidth="1"/>
    <col min="4" max="5" width="13.28515625" style="3" customWidth="1"/>
    <col min="6" max="6" width="15.7109375" style="3" customWidth="1"/>
  </cols>
  <sheetData>
    <row r="1" spans="1:6" ht="15" customHeight="1">
      <c r="A1" s="4"/>
      <c r="B1" s="5"/>
      <c r="C1" s="5"/>
      <c r="D1" s="5"/>
      <c r="E1" s="5"/>
      <c r="F1" s="5"/>
    </row>
    <row r="2" spans="1:6" ht="15" customHeight="1">
      <c r="A2" s="6" t="s">
        <v>53</v>
      </c>
      <c r="B2" s="7"/>
      <c r="C2" s="7"/>
      <c r="D2" s="7"/>
    </row>
    <row r="3" spans="1:6" ht="15" customHeight="1" thickBot="1">
      <c r="A3" s="8"/>
      <c r="B3" s="9"/>
      <c r="C3" s="9"/>
      <c r="D3" s="9"/>
      <c r="E3" s="10"/>
      <c r="F3" s="10"/>
    </row>
    <row r="4" spans="1:6" ht="22.9" customHeight="1">
      <c r="A4" s="11"/>
      <c r="B4" s="12"/>
      <c r="C4" s="12"/>
      <c r="D4" s="12"/>
      <c r="E4" s="13"/>
      <c r="F4" s="13"/>
    </row>
    <row r="5" spans="1:6" ht="15" customHeight="1">
      <c r="A5" s="83"/>
      <c r="B5" s="84" t="s">
        <v>18</v>
      </c>
      <c r="C5" s="84" t="s">
        <v>21</v>
      </c>
      <c r="D5" s="84" t="s">
        <v>25</v>
      </c>
      <c r="E5" s="84" t="s">
        <v>27</v>
      </c>
      <c r="F5" s="85"/>
    </row>
    <row r="6" spans="1:6" ht="15" customHeight="1">
      <c r="A6" s="83"/>
      <c r="B6" s="84" t="s">
        <v>19</v>
      </c>
      <c r="C6" s="84" t="s">
        <v>23</v>
      </c>
      <c r="D6" s="84" t="s">
        <v>24</v>
      </c>
      <c r="E6" s="84" t="s">
        <v>19</v>
      </c>
      <c r="F6" s="85"/>
    </row>
    <row r="7" spans="1:6" ht="15" customHeight="1">
      <c r="A7" s="84" t="s">
        <v>0</v>
      </c>
      <c r="B7" s="84" t="s">
        <v>20</v>
      </c>
      <c r="C7" s="84" t="s">
        <v>22</v>
      </c>
      <c r="D7" s="84" t="s">
        <v>26</v>
      </c>
      <c r="E7" s="84" t="s">
        <v>28</v>
      </c>
      <c r="F7" s="84" t="s">
        <v>13</v>
      </c>
    </row>
    <row r="8" spans="1:6" ht="15" customHeight="1">
      <c r="A8" s="24" t="s">
        <v>29</v>
      </c>
      <c r="B8" s="34">
        <f>'6-7 Backup data'!B10</f>
        <v>201</v>
      </c>
      <c r="C8" s="33">
        <f>'6-7 Backup data'!B25</f>
        <v>562.1</v>
      </c>
      <c r="D8" s="33">
        <f>'6-7 Backup data'!B34</f>
        <v>237.1</v>
      </c>
      <c r="E8" s="25">
        <f>'6-7 Backup data'!B39</f>
        <v>81.3</v>
      </c>
      <c r="F8" s="26">
        <f>SUM(B8:E8)</f>
        <v>1081.5</v>
      </c>
    </row>
    <row r="9" spans="1:6" ht="15" customHeight="1">
      <c r="A9" s="86" t="s">
        <v>17</v>
      </c>
      <c r="B9" s="87">
        <f>'6-7 Backup data'!C10</f>
        <v>3.0200000000000002E-4</v>
      </c>
      <c r="C9" s="88">
        <f>'6-7 Backup data'!C25</f>
        <v>5.8269999999999997E-3</v>
      </c>
      <c r="D9" s="88"/>
      <c r="E9" s="89"/>
      <c r="F9" s="90">
        <f t="shared" ref="F9:F23" si="0">SUM(B9:E9)</f>
        <v>6.1289999999999999E-3</v>
      </c>
    </row>
    <row r="10" spans="1:6" ht="15" customHeight="1">
      <c r="A10" s="24" t="s">
        <v>1</v>
      </c>
      <c r="B10" s="34">
        <f>'6-7 Backup data'!D10</f>
        <v>3.8500000000000004E-6</v>
      </c>
      <c r="C10" s="33">
        <f>'6-7 Backup data'!D25</f>
        <v>2.3900000000000001E-2</v>
      </c>
      <c r="D10" s="33"/>
      <c r="E10" s="25"/>
      <c r="F10" s="26">
        <f t="shared" si="0"/>
        <v>2.3903850000000001E-2</v>
      </c>
    </row>
    <row r="11" spans="1:6" ht="15" customHeight="1">
      <c r="A11" s="86" t="s">
        <v>10</v>
      </c>
      <c r="B11" s="87"/>
      <c r="C11" s="88">
        <f>'6-7 Backup data'!E25</f>
        <v>1.8461000000000002E-2</v>
      </c>
      <c r="D11" s="88"/>
      <c r="E11" s="89"/>
      <c r="F11" s="90">
        <f t="shared" si="0"/>
        <v>1.8461000000000002E-2</v>
      </c>
    </row>
    <row r="12" spans="1:6" ht="15" customHeight="1">
      <c r="A12" s="24" t="s">
        <v>2</v>
      </c>
      <c r="B12" s="34"/>
      <c r="C12" s="33">
        <f>'6-7 Backup data'!F25</f>
        <v>2.701489E-2</v>
      </c>
      <c r="D12" s="33"/>
      <c r="E12" s="25"/>
      <c r="F12" s="26">
        <f t="shared" si="0"/>
        <v>2.701489E-2</v>
      </c>
    </row>
    <row r="13" spans="1:6" ht="15" customHeight="1">
      <c r="A13" s="86" t="s">
        <v>30</v>
      </c>
      <c r="B13" s="87">
        <f>'6-7 Backup data'!G10</f>
        <v>2.5699999999999998E-3</v>
      </c>
      <c r="C13" s="88">
        <f>'6-7 Backup data'!G25</f>
        <v>1.1654000000000001E-2</v>
      </c>
      <c r="D13" s="88"/>
      <c r="E13" s="89"/>
      <c r="F13" s="90">
        <v>3.3399999999999999E-2</v>
      </c>
    </row>
    <row r="14" spans="1:6" ht="15" customHeight="1">
      <c r="A14" s="24" t="s">
        <v>3</v>
      </c>
      <c r="B14" s="34">
        <f>'6-7 Backup data'!H10</f>
        <v>4.531034482758621E-2</v>
      </c>
      <c r="C14" s="33">
        <f>'6-7 Backup data'!H25</f>
        <v>5.5329999999999994E-5</v>
      </c>
      <c r="D14" s="33"/>
      <c r="E14" s="25"/>
      <c r="F14" s="26">
        <f>SUM(B14:E14)</f>
        <v>4.536567482758621E-2</v>
      </c>
    </row>
    <row r="15" spans="1:6" ht="15" customHeight="1">
      <c r="A15" s="86" t="s">
        <v>4</v>
      </c>
      <c r="B15" s="87">
        <f>'6-7 Backup data'!I10</f>
        <v>2.6273706896551728E-3</v>
      </c>
      <c r="C15" s="88">
        <f>'6-7 Backup data'!I25</f>
        <v>1.1999999999999999E-6</v>
      </c>
      <c r="D15" s="88"/>
      <c r="E15" s="89"/>
      <c r="F15" s="90">
        <f t="shared" si="0"/>
        <v>2.6285706896551726E-3</v>
      </c>
    </row>
    <row r="16" spans="1:6" ht="15" customHeight="1">
      <c r="A16" s="24" t="s">
        <v>5</v>
      </c>
      <c r="B16" s="34">
        <f>'6-7 Backup data'!J10</f>
        <v>5.4907327586206894E-2</v>
      </c>
      <c r="C16" s="33">
        <f>'6-7 Backup data'!J25</f>
        <v>6.0544999999999997E-5</v>
      </c>
      <c r="D16" s="33"/>
      <c r="E16" s="25"/>
      <c r="F16" s="26">
        <f>SUM(B16:E16)</f>
        <v>5.4967872586206896E-2</v>
      </c>
    </row>
    <row r="17" spans="1:6" ht="15" customHeight="1">
      <c r="A17" s="86" t="s">
        <v>16</v>
      </c>
      <c r="B17" s="87"/>
      <c r="C17" s="88">
        <f>'6-7 Backup data'!K25</f>
        <v>5.0500000000000004E-7</v>
      </c>
      <c r="D17" s="88"/>
      <c r="E17" s="89"/>
      <c r="F17" s="90">
        <f t="shared" si="0"/>
        <v>5.0500000000000004E-7</v>
      </c>
    </row>
    <row r="18" spans="1:6" ht="15" customHeight="1">
      <c r="A18" s="24" t="s">
        <v>6</v>
      </c>
      <c r="B18" s="34">
        <f>'6-7 Backup data'!L10</f>
        <v>3.2789999999999999E-6</v>
      </c>
      <c r="C18" s="33">
        <f>'6-7 Backup data'!L25</f>
        <v>6.2379199999999997E-4</v>
      </c>
      <c r="D18" s="33"/>
      <c r="E18" s="25"/>
      <c r="F18" s="26">
        <f t="shared" si="0"/>
        <v>6.2707099999999999E-4</v>
      </c>
    </row>
    <row r="19" spans="1:6" ht="15" customHeight="1">
      <c r="A19" s="86" t="s">
        <v>7</v>
      </c>
      <c r="B19" s="88">
        <f>'6-7 Backup data'!M10</f>
        <v>4.862E-7</v>
      </c>
      <c r="C19" s="88">
        <f>'6-7 Backup data'!M25</f>
        <v>4.7569599999999999E-5</v>
      </c>
      <c r="D19" s="88"/>
      <c r="E19" s="89"/>
      <c r="F19" s="90">
        <f t="shared" si="0"/>
        <v>4.8055800000000002E-5</v>
      </c>
    </row>
    <row r="20" spans="1:6" ht="15" customHeight="1">
      <c r="A20" s="24" t="s">
        <v>8</v>
      </c>
      <c r="B20" s="33">
        <f>'6-7 Backup data'!N10</f>
        <v>4.2163793103448281E-3</v>
      </c>
      <c r="C20" s="33">
        <f>'6-7 Backup data'!N25</f>
        <v>5.2879E-5</v>
      </c>
      <c r="D20" s="33"/>
      <c r="E20" s="25"/>
      <c r="F20" s="26">
        <f>SUM(B20:E20)</f>
        <v>4.2692583103448277E-3</v>
      </c>
    </row>
    <row r="21" spans="1:6" ht="15" customHeight="1">
      <c r="A21" s="86" t="s">
        <v>9</v>
      </c>
      <c r="B21" s="88"/>
      <c r="C21" s="88">
        <f>'6-7 Backup data'!O25</f>
        <v>2.2265499999999999E-5</v>
      </c>
      <c r="D21" s="88"/>
      <c r="E21" s="89"/>
      <c r="F21" s="90">
        <f t="shared" si="0"/>
        <v>2.2265499999999999E-5</v>
      </c>
    </row>
    <row r="22" spans="1:6" ht="15" customHeight="1">
      <c r="A22" s="24" t="s">
        <v>31</v>
      </c>
      <c r="B22" s="33">
        <f>'6-7 Backup data'!P10</f>
        <v>5.47884E-4</v>
      </c>
      <c r="C22" s="33">
        <f>'6-7 Backup data'!P25</f>
        <v>4.6284599000000004E-3</v>
      </c>
      <c r="D22" s="33"/>
      <c r="E22" s="25"/>
      <c r="F22" s="26">
        <f t="shared" si="0"/>
        <v>5.1763439000000007E-3</v>
      </c>
    </row>
    <row r="23" spans="1:6" ht="15" customHeight="1">
      <c r="A23" s="86" t="s">
        <v>32</v>
      </c>
      <c r="B23" s="88">
        <f>'6-7 Backup data'!Q10</f>
        <v>2.6379999999999997E-3</v>
      </c>
      <c r="C23" s="88">
        <f>'6-7 Backup data'!Q25</f>
        <v>9.5325999999999987E-3</v>
      </c>
      <c r="D23" s="88">
        <f>'6-7 Backup data'!Q34</f>
        <v>2.8979999999999999E-2</v>
      </c>
      <c r="E23" s="89"/>
      <c r="F23" s="90">
        <f t="shared" si="0"/>
        <v>4.1150599999999996E-2</v>
      </c>
    </row>
    <row r="24" spans="1:6" ht="15" customHeight="1">
      <c r="A24" s="24" t="s">
        <v>52</v>
      </c>
      <c r="B24" s="33">
        <f>'6-7 Backup data'!R10</f>
        <v>174000000000</v>
      </c>
      <c r="C24" s="33">
        <f>'6-7 Backup data'!R25</f>
        <v>16100000000</v>
      </c>
      <c r="D24" s="33">
        <f>'6-7 Backup data'!R34</f>
        <v>31600000000</v>
      </c>
      <c r="E24" s="27">
        <f>'6-7 Backup data'!R40</f>
        <v>38400000000</v>
      </c>
      <c r="F24" s="28"/>
    </row>
    <row r="25" spans="1:6" ht="15" customHeight="1">
      <c r="A25" s="23"/>
    </row>
    <row r="26" spans="1:6" s="1" customFormat="1" ht="15" customHeight="1">
      <c r="A26" s="2" t="s">
        <v>66</v>
      </c>
      <c r="B26" s="2"/>
      <c r="C26" s="2"/>
      <c r="D26" s="2"/>
      <c r="E26" s="2"/>
      <c r="F26" s="2"/>
    </row>
    <row r="27" spans="1:6" s="1" customFormat="1" ht="15" customHeight="1">
      <c r="A27" s="2" t="s">
        <v>14</v>
      </c>
      <c r="B27" s="2"/>
      <c r="C27" s="2"/>
      <c r="D27" s="2"/>
      <c r="E27" s="2"/>
      <c r="F27" s="2"/>
    </row>
    <row r="28" spans="1:6" s="1" customFormat="1" ht="15" customHeight="1">
      <c r="A28" s="2" t="s">
        <v>15</v>
      </c>
      <c r="B28" s="2"/>
      <c r="C28" s="2"/>
      <c r="D28" s="2"/>
      <c r="E28" s="2"/>
      <c r="F28" s="2"/>
    </row>
    <row r="29" spans="1:6" ht="15" customHeight="1">
      <c r="A29" s="2" t="s">
        <v>11</v>
      </c>
      <c r="B29" s="2"/>
      <c r="C29" s="2"/>
      <c r="D29" s="2"/>
      <c r="E29" s="2"/>
      <c r="F29" s="2"/>
    </row>
    <row r="30" spans="1:6" ht="15" customHeight="1">
      <c r="A30" s="2" t="s">
        <v>12</v>
      </c>
      <c r="B30" s="2"/>
      <c r="C30" s="2"/>
      <c r="D30" s="2"/>
      <c r="E30" s="2"/>
      <c r="F30" s="2"/>
    </row>
    <row r="31" spans="1:6" ht="15" customHeight="1">
      <c r="A31" s="2"/>
      <c r="B31" s="2"/>
      <c r="C31" s="2"/>
      <c r="D31" s="2"/>
      <c r="E31" s="2"/>
      <c r="F31" s="2"/>
    </row>
  </sheetData>
  <customSheetViews>
    <customSheetView guid="{3F1948D3-7A77-49FA-8683-88C42F48218E}" showPageBreaks="1">
      <selection activeCell="K16" sqref="K16"/>
      <pageMargins left="0.75" right="0.5" top="1" bottom="1" header="0.5" footer="0.5"/>
      <printOptions gridLines="1"/>
      <pageSetup orientation="portrait" horizontalDpi="300" verticalDpi="300" r:id="rId1"/>
      <headerFooter alignWithMargins="0"/>
    </customSheetView>
    <customSheetView guid="{18171B3D-97D9-4E22-AFC9-A8C0E28D5DD4}" showPageBreaks="1">
      <selection activeCell="A33" sqref="A33"/>
      <pageMargins left="0.75" right="0.5" top="1" bottom="1" header="0.5" footer="0.5"/>
      <printOptions gridLines="1"/>
      <pageSetup orientation="portrait" horizontalDpi="300" verticalDpi="300" r:id="rId2"/>
      <headerFooter alignWithMargins="0"/>
    </customSheetView>
    <customSheetView guid="{5FA20952-9BBD-44D2-970E-DA7EA3E10244}" showPageBreaks="1" view="pageLayout">
      <selection activeCell="F15" sqref="F15"/>
      <pageMargins left="0.75" right="0.5" top="1" bottom="1" header="0.5" footer="0.5"/>
      <printOptions gridLines="1"/>
      <pageSetup orientation="portrait" r:id="rId3"/>
      <headerFooter alignWithMargins="0"/>
    </customSheetView>
    <customSheetView guid="{A6AA7415-0AD7-4319-BCFB-E8006215A3E4}" showRuler="0">
      <selection activeCell="F9" sqref="F9"/>
      <pageMargins left="0.75" right="0.5" top="1" bottom="1" header="0.5" footer="0.5"/>
      <pageSetup orientation="portrait" r:id="rId4"/>
      <headerFooter alignWithMargins="0">
        <oddHeader>&amp;C&amp;"Geneva,Bold"&amp;11L1</oddHeader>
      </headerFooter>
    </customSheetView>
    <customSheetView guid="{36AFB31B-B3E5-480B-92F9-BE5FA60B8F95}" showRuler="0">
      <selection activeCell="H28" sqref="H28"/>
      <pageMargins left="0.75" right="0.5" top="1" bottom="1" header="0.5" footer="0.5"/>
      <pageSetup orientation="portrait" r:id="rId5"/>
      <headerFooter alignWithMargins="0">
        <oddHeader>&amp;C&amp;"Geneva,Bold"&amp;11L1</oddHeader>
      </headerFooter>
    </customSheetView>
    <customSheetView guid="{987FE8D4-A9A3-47E1-A507-7DFB6177D6D7}" showPageBreaks="1" showRuler="0">
      <selection activeCell="F9" sqref="F9"/>
      <pageMargins left="0.75" right="0.5" top="1" bottom="1" header="0.5" footer="0.5"/>
      <pageSetup orientation="portrait" r:id="rId6"/>
      <headerFooter alignWithMargins="0">
        <oddHeader>&amp;C&amp;"Geneva,Bold"&amp;11L1</oddHeader>
      </headerFooter>
    </customSheetView>
    <customSheetView guid="{70E017E5-BB13-4673-A7AD-6B6A9E1D5706}" showPageBreaks="1" view="pageLayout">
      <selection activeCell="D10" sqref="D10"/>
      <pageMargins left="0.75" right="0.5" top="1" bottom="1" header="0.5" footer="0.5"/>
      <printOptions gridLines="1"/>
      <pageSetup orientation="portrait" r:id="rId7"/>
      <headerFooter alignWithMargins="0"/>
    </customSheetView>
  </customSheetViews>
  <phoneticPr fontId="4" type="noConversion"/>
  <printOptions gridLines="1"/>
  <pageMargins left="0.75" right="0.5" top="1" bottom="1" header="0.5" footer="0.5"/>
  <pageSetup orientation="portrait" horizontalDpi="300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workbookViewId="0">
      <selection activeCell="G46" sqref="G46"/>
    </sheetView>
  </sheetViews>
  <sheetFormatPr defaultRowHeight="12.75"/>
  <cols>
    <col min="1" max="1" width="22.140625" style="18" customWidth="1"/>
    <col min="2" max="12" width="8.140625" style="18" customWidth="1"/>
    <col min="13" max="15" width="9.140625" style="18"/>
    <col min="16" max="16" width="9.7109375" style="18" customWidth="1"/>
    <col min="17" max="18" width="9.140625" style="18"/>
    <col min="19" max="19" width="9.7109375" customWidth="1"/>
  </cols>
  <sheetData>
    <row r="1" spans="1:19">
      <c r="A1" s="30" t="s">
        <v>55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9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45" t="s">
        <v>33</v>
      </c>
    </row>
    <row r="3" spans="1:19" s="2" customFormat="1" ht="11.25">
      <c r="A3" s="14"/>
      <c r="B3" s="45" t="s">
        <v>34</v>
      </c>
      <c r="C3" s="45" t="s">
        <v>17</v>
      </c>
      <c r="D3" s="45" t="s">
        <v>1</v>
      </c>
      <c r="E3" s="45" t="s">
        <v>10</v>
      </c>
      <c r="F3" s="45" t="s">
        <v>2</v>
      </c>
      <c r="G3" s="45" t="s">
        <v>35</v>
      </c>
      <c r="H3" s="45" t="s">
        <v>3</v>
      </c>
      <c r="I3" s="45" t="s">
        <v>4</v>
      </c>
      <c r="J3" s="45" t="s">
        <v>5</v>
      </c>
      <c r="K3" s="45" t="s">
        <v>16</v>
      </c>
      <c r="L3" s="45" t="s">
        <v>6</v>
      </c>
      <c r="M3" s="45" t="s">
        <v>7</v>
      </c>
      <c r="N3" s="45" t="s">
        <v>8</v>
      </c>
      <c r="O3" s="45" t="s">
        <v>9</v>
      </c>
      <c r="P3" s="45" t="s">
        <v>36</v>
      </c>
      <c r="Q3" s="45" t="s">
        <v>37</v>
      </c>
      <c r="R3" s="45" t="s">
        <v>38</v>
      </c>
    </row>
    <row r="4" spans="1:19" s="2" customFormat="1" ht="11.25">
      <c r="A4" s="35" t="s">
        <v>39</v>
      </c>
      <c r="B4" s="32">
        <v>4.78</v>
      </c>
      <c r="C4" s="32"/>
      <c r="D4" s="32">
        <v>0</v>
      </c>
      <c r="E4" s="32"/>
      <c r="F4" s="32"/>
      <c r="G4" s="32">
        <v>0</v>
      </c>
      <c r="H4" s="32"/>
      <c r="I4" s="32"/>
      <c r="J4" s="32"/>
      <c r="K4" s="32"/>
      <c r="L4" s="32"/>
      <c r="M4" s="32"/>
      <c r="N4" s="32"/>
      <c r="O4" s="38"/>
      <c r="P4" s="32">
        <v>0</v>
      </c>
      <c r="Q4" s="32">
        <f>0.000406-(2*D4)-G4</f>
        <v>4.06E-4</v>
      </c>
      <c r="R4" s="31">
        <v>378000000</v>
      </c>
    </row>
    <row r="5" spans="1:19" s="2" customFormat="1" ht="11.25">
      <c r="A5" s="46" t="s">
        <v>40</v>
      </c>
      <c r="B5" s="47">
        <v>12.6</v>
      </c>
      <c r="C5" s="47"/>
      <c r="D5" s="47">
        <v>0</v>
      </c>
      <c r="E5" s="47"/>
      <c r="F5" s="47"/>
      <c r="G5" s="48">
        <v>0</v>
      </c>
      <c r="H5" s="47">
        <v>1.6899999999999999E-4</v>
      </c>
      <c r="I5" s="47">
        <v>6.9500000000000004E-6</v>
      </c>
      <c r="J5" s="47">
        <v>1.77E-5</v>
      </c>
      <c r="K5" s="47"/>
      <c r="L5" s="47">
        <v>4.7399999999999998E-7</v>
      </c>
      <c r="M5" s="47">
        <v>0</v>
      </c>
      <c r="N5" s="47"/>
      <c r="O5" s="47"/>
      <c r="P5" s="47">
        <f>0.000293-SUM(H5:O5)</f>
        <v>9.887600000000002E-5</v>
      </c>
      <c r="Q5" s="47">
        <v>8.9700000000000001E-4</v>
      </c>
      <c r="R5" s="49">
        <v>994000000</v>
      </c>
    </row>
    <row r="6" spans="1:19" s="2" customFormat="1" ht="11.25">
      <c r="A6" s="35" t="s">
        <v>41</v>
      </c>
      <c r="B6" s="32">
        <v>25.4</v>
      </c>
      <c r="C6" s="32">
        <v>3.0200000000000002E-4</v>
      </c>
      <c r="D6" s="32">
        <v>3.8500000000000004E-6</v>
      </c>
      <c r="E6" s="32"/>
      <c r="F6" s="32"/>
      <c r="G6" s="32">
        <v>2.5699999999999998E-3</v>
      </c>
      <c r="H6" s="32">
        <v>2.36E-8</v>
      </c>
      <c r="I6" s="32">
        <v>3.5899999999999997E-8</v>
      </c>
      <c r="J6" s="32">
        <v>3.3799999999999998E-8</v>
      </c>
      <c r="K6" s="32">
        <v>0</v>
      </c>
      <c r="L6" s="32">
        <v>1.15E-7</v>
      </c>
      <c r="M6" s="32">
        <v>5.4200000000000002E-8</v>
      </c>
      <c r="N6" s="32">
        <v>0</v>
      </c>
      <c r="O6" s="32">
        <v>0</v>
      </c>
      <c r="P6" s="32">
        <v>0</v>
      </c>
      <c r="Q6" s="32">
        <v>0</v>
      </c>
      <c r="R6" s="31">
        <v>26700000</v>
      </c>
    </row>
    <row r="7" spans="1:19" s="2" customFormat="1" ht="11.25">
      <c r="A7" s="46" t="s">
        <v>42</v>
      </c>
      <c r="B7" s="50">
        <v>0.124</v>
      </c>
      <c r="C7" s="50"/>
      <c r="D7" s="50"/>
      <c r="E7" s="50"/>
      <c r="F7" s="50"/>
      <c r="G7" s="50"/>
      <c r="H7" s="50">
        <v>4.6300000000000001E-5</v>
      </c>
      <c r="I7" s="50">
        <v>4.2200000000000003E-6</v>
      </c>
      <c r="J7" s="50">
        <v>2.1100000000000001E-5</v>
      </c>
      <c r="K7" s="51"/>
      <c r="L7" s="50">
        <v>1.6199999999999999E-6</v>
      </c>
      <c r="M7" s="50">
        <v>4.32E-7</v>
      </c>
      <c r="N7" s="50"/>
      <c r="O7" s="50"/>
      <c r="P7" s="50">
        <f>0.000489-SUM(H7:O7)</f>
        <v>4.1532799999999996E-4</v>
      </c>
      <c r="Q7" s="50">
        <v>6.1600000000000001E-4</v>
      </c>
      <c r="R7" s="51">
        <v>405000000</v>
      </c>
      <c r="S7" s="29"/>
    </row>
    <row r="8" spans="1:19" s="2" customFormat="1" ht="11.25">
      <c r="A8" s="35" t="s">
        <v>65</v>
      </c>
      <c r="B8" s="43">
        <v>0.22900000000000001</v>
      </c>
      <c r="C8" s="43"/>
      <c r="D8" s="43">
        <v>0</v>
      </c>
      <c r="E8" s="43"/>
      <c r="F8" s="43"/>
      <c r="G8" s="43">
        <v>0</v>
      </c>
      <c r="H8" s="43">
        <v>1.37E-6</v>
      </c>
      <c r="I8" s="43">
        <v>0</v>
      </c>
      <c r="J8" s="43">
        <v>2.88E-6</v>
      </c>
      <c r="K8" s="43"/>
      <c r="L8" s="43">
        <v>1.0699999999999999E-6</v>
      </c>
      <c r="M8" s="43">
        <v>0</v>
      </c>
      <c r="N8" s="43"/>
      <c r="O8" s="43"/>
      <c r="P8" s="43">
        <f>0.000039-SUM(H8:O8)</f>
        <v>3.3680000000000003E-5</v>
      </c>
      <c r="Q8" s="43">
        <v>7.1900000000000002E-4</v>
      </c>
      <c r="R8" s="31">
        <v>52000000</v>
      </c>
    </row>
    <row r="9" spans="1:19" s="2" customFormat="1" ht="11.25">
      <c r="A9" s="52" t="s">
        <v>54</v>
      </c>
      <c r="B9" s="53">
        <v>157.86699999999999</v>
      </c>
      <c r="C9" s="51"/>
      <c r="D9" s="54">
        <v>0</v>
      </c>
      <c r="E9" s="54"/>
      <c r="F9" s="54"/>
      <c r="G9" s="54">
        <v>0</v>
      </c>
      <c r="H9" s="55">
        <v>4.5093651227586212E-2</v>
      </c>
      <c r="I9" s="55">
        <v>2.6161647896551727E-3</v>
      </c>
      <c r="J9" s="55">
        <v>5.4865613786206892E-2</v>
      </c>
      <c r="K9" s="56"/>
      <c r="L9" s="56"/>
      <c r="M9" s="56"/>
      <c r="N9" s="56">
        <v>4.2163793103448281E-3</v>
      </c>
      <c r="O9" s="56"/>
      <c r="P9" s="57"/>
      <c r="Q9" s="58"/>
      <c r="R9" s="59">
        <v>174000000000</v>
      </c>
      <c r="S9" s="81"/>
    </row>
    <row r="10" spans="1:19" s="2" customFormat="1" ht="11.25">
      <c r="A10" s="20" t="s">
        <v>13</v>
      </c>
      <c r="B10" s="21">
        <f t="shared" ref="B10:Q10" si="0">SUM(B3:B9)</f>
        <v>201</v>
      </c>
      <c r="C10" s="21">
        <f t="shared" si="0"/>
        <v>3.0200000000000002E-4</v>
      </c>
      <c r="D10" s="21">
        <f t="shared" si="0"/>
        <v>3.8500000000000004E-6</v>
      </c>
      <c r="E10" s="21">
        <f t="shared" si="0"/>
        <v>0</v>
      </c>
      <c r="F10" s="21">
        <f t="shared" si="0"/>
        <v>0</v>
      </c>
      <c r="G10" s="21">
        <f t="shared" si="0"/>
        <v>2.5699999999999998E-3</v>
      </c>
      <c r="H10" s="21">
        <f t="shared" si="0"/>
        <v>4.531034482758621E-2</v>
      </c>
      <c r="I10" s="21">
        <f t="shared" si="0"/>
        <v>2.6273706896551728E-3</v>
      </c>
      <c r="J10" s="21">
        <f t="shared" si="0"/>
        <v>5.4907327586206894E-2</v>
      </c>
      <c r="K10" s="21">
        <f t="shared" si="0"/>
        <v>0</v>
      </c>
      <c r="L10" s="21">
        <f t="shared" si="0"/>
        <v>3.2789999999999999E-6</v>
      </c>
      <c r="M10" s="21">
        <f t="shared" si="0"/>
        <v>4.862E-7</v>
      </c>
      <c r="N10" s="21">
        <f t="shared" si="0"/>
        <v>4.2163793103448281E-3</v>
      </c>
      <c r="O10" s="21">
        <f t="shared" si="0"/>
        <v>0</v>
      </c>
      <c r="P10" s="21">
        <f t="shared" si="0"/>
        <v>5.47884E-4</v>
      </c>
      <c r="Q10" s="21">
        <f t="shared" si="0"/>
        <v>2.6379999999999997E-3</v>
      </c>
      <c r="R10" s="21">
        <f>R9</f>
        <v>174000000000</v>
      </c>
      <c r="S10" s="2" t="s">
        <v>68</v>
      </c>
    </row>
    <row r="11" spans="1:19" s="2" customFormat="1" ht="11.2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9"/>
      <c r="N11" s="19"/>
      <c r="O11" s="19"/>
      <c r="P11" s="19"/>
      <c r="Q11" s="19"/>
      <c r="R11" s="19"/>
    </row>
    <row r="12" spans="1:19" s="2" customFormat="1" ht="11.25">
      <c r="A12" s="82" t="s">
        <v>56</v>
      </c>
    </row>
    <row r="13" spans="1:19" s="2" customFormat="1" ht="11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45" t="s">
        <v>33</v>
      </c>
    </row>
    <row r="14" spans="1:19" s="2" customFormat="1" ht="11.25">
      <c r="A14" s="14"/>
      <c r="B14" s="45" t="s">
        <v>34</v>
      </c>
      <c r="C14" s="45" t="s">
        <v>17</v>
      </c>
      <c r="D14" s="45" t="s">
        <v>1</v>
      </c>
      <c r="E14" s="45" t="s">
        <v>10</v>
      </c>
      <c r="F14" s="45" t="s">
        <v>2</v>
      </c>
      <c r="G14" s="45" t="s">
        <v>35</v>
      </c>
      <c r="H14" s="45" t="s">
        <v>3</v>
      </c>
      <c r="I14" s="45" t="s">
        <v>4</v>
      </c>
      <c r="J14" s="45" t="s">
        <v>5</v>
      </c>
      <c r="K14" s="45" t="s">
        <v>16</v>
      </c>
      <c r="L14" s="45" t="s">
        <v>6</v>
      </c>
      <c r="M14" s="45" t="s">
        <v>7</v>
      </c>
      <c r="N14" s="45" t="s">
        <v>8</v>
      </c>
      <c r="O14" s="45" t="s">
        <v>9</v>
      </c>
      <c r="P14" s="45" t="s">
        <v>36</v>
      </c>
      <c r="Q14" s="45" t="s">
        <v>37</v>
      </c>
      <c r="R14" s="45" t="s">
        <v>38</v>
      </c>
    </row>
    <row r="15" spans="1:19" s="2" customFormat="1" ht="11.25">
      <c r="A15" s="35" t="s">
        <v>59</v>
      </c>
      <c r="B15" s="36">
        <v>0.187</v>
      </c>
      <c r="C15" s="36">
        <v>4.5899999999999999E-4</v>
      </c>
      <c r="D15" s="36">
        <v>0</v>
      </c>
      <c r="E15" s="36">
        <v>1.92E-4</v>
      </c>
      <c r="F15" s="36">
        <v>0</v>
      </c>
      <c r="G15" s="36">
        <v>0</v>
      </c>
      <c r="H15" s="37">
        <v>2.8099999999999999E-5</v>
      </c>
      <c r="I15" s="37">
        <v>1.1999999999999999E-6</v>
      </c>
      <c r="J15" s="37">
        <v>2.5899999999999999E-5</v>
      </c>
      <c r="K15" s="37">
        <v>2.67E-7</v>
      </c>
      <c r="L15" s="37">
        <v>9.0800000000000003E-7</v>
      </c>
      <c r="M15" s="37">
        <v>1.11E-6</v>
      </c>
      <c r="N15" s="37">
        <v>8.7700000000000003E-7</v>
      </c>
      <c r="O15" s="37">
        <v>8.8000000000000004E-7</v>
      </c>
      <c r="P15" s="36">
        <f>0.000247-SUM(H15:O15)</f>
        <v>1.87758E-4</v>
      </c>
      <c r="Q15" s="36">
        <f>0.000482-(2*D15)-G15</f>
        <v>4.8200000000000001E-4</v>
      </c>
      <c r="R15" s="29">
        <v>197000000</v>
      </c>
      <c r="S15" s="29"/>
    </row>
    <row r="16" spans="1:19" s="2" customFormat="1" ht="11.25">
      <c r="A16" s="46" t="s">
        <v>60</v>
      </c>
      <c r="B16" s="60">
        <v>0.109</v>
      </c>
      <c r="C16" s="60"/>
      <c r="D16" s="60">
        <v>3.0299999999999999E-4</v>
      </c>
      <c r="E16" s="60">
        <v>5.8600000000000001E-5</v>
      </c>
      <c r="F16" s="60">
        <v>0</v>
      </c>
      <c r="G16" s="60">
        <v>8.6399999999999997E-4</v>
      </c>
      <c r="H16" s="61">
        <v>1.5400000000000001E-6</v>
      </c>
      <c r="I16" s="61">
        <v>0</v>
      </c>
      <c r="J16" s="61">
        <v>0</v>
      </c>
      <c r="K16" s="61">
        <v>0</v>
      </c>
      <c r="L16" s="61">
        <v>9.6599999999999994E-7</v>
      </c>
      <c r="M16" s="61">
        <v>0</v>
      </c>
      <c r="N16" s="61">
        <v>0</v>
      </c>
      <c r="O16" s="61">
        <v>0</v>
      </c>
      <c r="P16" s="60">
        <f>0.0000367-SUM(H16:O16)</f>
        <v>3.4193999999999998E-5</v>
      </c>
      <c r="Q16" s="60">
        <f>0.00162-(2*D16)-G16</f>
        <v>1.4999999999999996E-4</v>
      </c>
      <c r="R16" s="51">
        <v>90600000</v>
      </c>
      <c r="S16" s="29"/>
    </row>
    <row r="17" spans="1:19" s="2" customFormat="1" ht="11.25">
      <c r="A17" s="35" t="s">
        <v>61</v>
      </c>
      <c r="B17" s="36">
        <v>4.7500000000000001E-2</v>
      </c>
      <c r="C17" s="36"/>
      <c r="D17" s="36">
        <v>1.38E-5</v>
      </c>
      <c r="E17" s="36">
        <v>5.5400000000000003E-6</v>
      </c>
      <c r="F17" s="36">
        <v>6.1800000000000001E-6</v>
      </c>
      <c r="G17" s="36">
        <v>0</v>
      </c>
      <c r="H17" s="37">
        <v>1.8300000000000001E-6</v>
      </c>
      <c r="I17" s="37">
        <v>0</v>
      </c>
      <c r="J17" s="37">
        <v>1.6899999999999999E-6</v>
      </c>
      <c r="K17" s="37">
        <v>0</v>
      </c>
      <c r="L17" s="37">
        <v>3.65E-7</v>
      </c>
      <c r="M17" s="37">
        <v>8.1200000000000002E-7</v>
      </c>
      <c r="N17" s="37">
        <v>2.8599999999999999E-7</v>
      </c>
      <c r="O17" s="37">
        <v>6.7299999999999995E-7</v>
      </c>
      <c r="P17" s="36">
        <v>0</v>
      </c>
      <c r="Q17" s="36">
        <f>0.000125-(2*D17)-G17</f>
        <v>9.7400000000000009E-5</v>
      </c>
      <c r="R17" s="29">
        <v>26700000</v>
      </c>
      <c r="S17" s="29"/>
    </row>
    <row r="18" spans="1:19" s="2" customFormat="1" ht="11.25">
      <c r="A18" s="46" t="s">
        <v>62</v>
      </c>
      <c r="B18" s="60">
        <v>1.0999999999999999E-2</v>
      </c>
      <c r="C18" s="60">
        <v>2.8E-5</v>
      </c>
      <c r="D18" s="60">
        <v>6.69E-5</v>
      </c>
      <c r="E18" s="60">
        <v>4.8600000000000001E-6</v>
      </c>
      <c r="F18" s="60">
        <v>8.7099999999999996E-6</v>
      </c>
      <c r="G18" s="60">
        <v>0</v>
      </c>
      <c r="H18" s="61">
        <v>6.8999999999999996E-7</v>
      </c>
      <c r="I18" s="61">
        <v>0</v>
      </c>
      <c r="J18" s="61">
        <v>8.3500000000000005E-7</v>
      </c>
      <c r="K18" s="61">
        <v>0</v>
      </c>
      <c r="L18" s="61">
        <v>1.6299999999999999E-7</v>
      </c>
      <c r="M18" s="61">
        <v>4.7600000000000003E-8</v>
      </c>
      <c r="N18" s="61">
        <v>2.5600000000000002E-7</v>
      </c>
      <c r="O18" s="61">
        <v>1.6499999999999999E-8</v>
      </c>
      <c r="P18" s="60">
        <f>0.00000219-SUM(H18:O18)</f>
        <v>1.818999999999999E-7</v>
      </c>
      <c r="Q18" s="60">
        <f>0.000188-(2*D18)-G18</f>
        <v>5.4199999999999989E-5</v>
      </c>
      <c r="R18" s="51">
        <v>14400000</v>
      </c>
      <c r="S18" s="29"/>
    </row>
    <row r="19" spans="1:19" s="2" customFormat="1" ht="11.25">
      <c r="A19" s="39" t="s">
        <v>43</v>
      </c>
      <c r="B19" s="32">
        <v>0.96899999999999997</v>
      </c>
      <c r="C19" s="40"/>
      <c r="D19" s="32">
        <v>9.0500000000000004E-5</v>
      </c>
      <c r="E19" s="32"/>
      <c r="F19" s="32"/>
      <c r="G19" s="32">
        <v>0</v>
      </c>
      <c r="H19" s="32">
        <v>1.52E-5</v>
      </c>
      <c r="I19" s="32">
        <v>0</v>
      </c>
      <c r="J19" s="32">
        <v>1.2999999999999999E-5</v>
      </c>
      <c r="K19" s="32"/>
      <c r="L19" s="32">
        <v>7.3900000000000004E-6</v>
      </c>
      <c r="M19" s="32">
        <v>0</v>
      </c>
      <c r="N19" s="32">
        <v>1.7799999999999999E-6</v>
      </c>
      <c r="O19" s="32">
        <v>0</v>
      </c>
      <c r="P19" s="32">
        <f>0.000794-SUM(H19:O19)</f>
        <v>7.5663E-4</v>
      </c>
      <c r="Q19" s="32">
        <f>0.00275-(2*D19)-G19</f>
        <v>2.5689999999999997E-3</v>
      </c>
      <c r="R19" s="31">
        <v>416000000</v>
      </c>
    </row>
    <row r="20" spans="1:19" s="2" customFormat="1" ht="11.25">
      <c r="A20" s="46" t="s">
        <v>44</v>
      </c>
      <c r="B20" s="47">
        <v>8.5500000000000007</v>
      </c>
      <c r="C20" s="49">
        <v>5.3400000000000001E-3</v>
      </c>
      <c r="D20" s="47">
        <v>1.1000000000000001E-3</v>
      </c>
      <c r="E20" s="47"/>
      <c r="F20" s="47"/>
      <c r="G20" s="47">
        <v>0</v>
      </c>
      <c r="H20" s="47">
        <v>6.4899999999999997E-6</v>
      </c>
      <c r="I20" s="47">
        <v>0</v>
      </c>
      <c r="J20" s="47">
        <v>1.8700000000000001E-5</v>
      </c>
      <c r="K20" s="47">
        <v>2.3799999999999999E-7</v>
      </c>
      <c r="L20" s="47">
        <v>4.6799999999999999E-4</v>
      </c>
      <c r="M20" s="47">
        <v>3.3599999999999997E-5</v>
      </c>
      <c r="N20" s="47">
        <v>4.4199999999999997E-5</v>
      </c>
      <c r="O20" s="47">
        <v>2.0100000000000001E-5</v>
      </c>
      <c r="P20" s="47">
        <f>0.00423-SUM(H20:O20)</f>
        <v>3.6386720000000003E-3</v>
      </c>
      <c r="Q20" s="47">
        <f>0.00838-(2*D20)-G20</f>
        <v>6.1799999999999997E-3</v>
      </c>
      <c r="R20" s="49">
        <v>1780000000</v>
      </c>
    </row>
    <row r="21" spans="1:19" s="2" customFormat="1" ht="11.25">
      <c r="A21" s="39" t="s">
        <v>45</v>
      </c>
      <c r="B21" s="31">
        <v>0.374</v>
      </c>
      <c r="C21" s="31"/>
      <c r="D21" s="31">
        <v>1.31E-3</v>
      </c>
      <c r="E21" s="31">
        <v>1.7699999999999999E-4</v>
      </c>
      <c r="F21" s="31">
        <v>5.1900000000000003E-6</v>
      </c>
      <c r="G21" s="31">
        <v>8.2900000000000005E-3</v>
      </c>
      <c r="H21" s="31">
        <v>1.48E-6</v>
      </c>
      <c r="I21" s="31">
        <v>0</v>
      </c>
      <c r="J21" s="31">
        <v>4.2E-7</v>
      </c>
      <c r="K21" s="31">
        <v>0</v>
      </c>
      <c r="L21" s="31">
        <v>1.46E-4</v>
      </c>
      <c r="M21" s="31">
        <v>1.2E-5</v>
      </c>
      <c r="N21" s="31">
        <v>5.48E-6</v>
      </c>
      <c r="O21" s="32">
        <v>5.9599999999999999E-7</v>
      </c>
      <c r="P21" s="32">
        <f>0.000177-SUM(H21:O21)</f>
        <v>1.1023999999999995E-5</v>
      </c>
      <c r="Q21" s="32">
        <v>0</v>
      </c>
      <c r="R21" s="31">
        <v>137000000</v>
      </c>
    </row>
    <row r="22" spans="1:19" s="2" customFormat="1" ht="11.25">
      <c r="A22" s="62" t="s">
        <v>46</v>
      </c>
      <c r="B22" s="63">
        <v>49.1</v>
      </c>
      <c r="C22" s="51"/>
      <c r="D22" s="51">
        <v>2.3269999999999992E-3</v>
      </c>
      <c r="E22" s="51">
        <v>0</v>
      </c>
      <c r="F22" s="51">
        <v>1.992E-2</v>
      </c>
      <c r="G22" s="51">
        <v>2.5000000000000001E-3</v>
      </c>
      <c r="H22" s="64"/>
      <c r="I22" s="64"/>
      <c r="J22" s="64"/>
      <c r="K22" s="64"/>
      <c r="L22" s="64"/>
      <c r="M22" s="64"/>
      <c r="N22" s="64"/>
      <c r="O22" s="64"/>
      <c r="P22" s="64"/>
      <c r="Q22" s="59"/>
      <c r="R22" s="49">
        <v>9562000000</v>
      </c>
      <c r="S22" s="18"/>
    </row>
    <row r="23" spans="1:19" s="2" customFormat="1" ht="11.25">
      <c r="A23" s="41" t="s">
        <v>63</v>
      </c>
      <c r="B23" s="42">
        <v>391.64549999999997</v>
      </c>
      <c r="C23" s="42"/>
      <c r="D23" s="42">
        <v>1.8930000000000005E-4</v>
      </c>
      <c r="E23" s="42">
        <v>0</v>
      </c>
      <c r="F23" s="42">
        <v>0</v>
      </c>
      <c r="G23" s="31"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1">
        <v>374890000</v>
      </c>
      <c r="S23" s="18"/>
    </row>
    <row r="24" spans="1:19" s="2" customFormat="1" ht="11.25">
      <c r="A24" s="62" t="s">
        <v>64</v>
      </c>
      <c r="B24" s="65">
        <v>111.107</v>
      </c>
      <c r="C24" s="66"/>
      <c r="D24" s="49">
        <v>1.8499500000000002E-2</v>
      </c>
      <c r="E24" s="51">
        <v>1.8023000000000001E-2</v>
      </c>
      <c r="F24" s="51">
        <v>7.07481E-3</v>
      </c>
      <c r="G24" s="51">
        <v>0</v>
      </c>
      <c r="H24" s="56"/>
      <c r="I24" s="56"/>
      <c r="J24" s="56"/>
      <c r="K24" s="56"/>
      <c r="L24" s="56"/>
      <c r="M24" s="56"/>
      <c r="N24" s="56"/>
      <c r="O24" s="56"/>
      <c r="P24" s="67"/>
      <c r="Q24" s="67"/>
      <c r="R24" s="49">
        <v>7188000000</v>
      </c>
      <c r="S24" s="18"/>
    </row>
    <row r="25" spans="1:19" s="2" customFormat="1" ht="11.25">
      <c r="A25" s="20" t="s">
        <v>13</v>
      </c>
      <c r="B25" s="16">
        <f>SUM(B15:B24)</f>
        <v>562.1</v>
      </c>
      <c r="C25" s="16">
        <f t="shared" ref="C25:Q25" si="1">SUM(C15:C24)</f>
        <v>5.8269999999999997E-3</v>
      </c>
      <c r="D25" s="16">
        <f t="shared" si="1"/>
        <v>2.3900000000000001E-2</v>
      </c>
      <c r="E25" s="16">
        <f t="shared" si="1"/>
        <v>1.8461000000000002E-2</v>
      </c>
      <c r="F25" s="16">
        <f t="shared" si="1"/>
        <v>2.701489E-2</v>
      </c>
      <c r="G25" s="16">
        <f>SUM(G15:G24)</f>
        <v>1.1654000000000001E-2</v>
      </c>
      <c r="H25" s="16">
        <f t="shared" si="1"/>
        <v>5.5329999999999994E-5</v>
      </c>
      <c r="I25" s="16">
        <f t="shared" si="1"/>
        <v>1.1999999999999999E-6</v>
      </c>
      <c r="J25" s="16">
        <f t="shared" si="1"/>
        <v>6.0544999999999997E-5</v>
      </c>
      <c r="K25" s="16">
        <f t="shared" si="1"/>
        <v>5.0500000000000004E-7</v>
      </c>
      <c r="L25" s="16">
        <f t="shared" si="1"/>
        <v>6.2379199999999997E-4</v>
      </c>
      <c r="M25" s="16">
        <f t="shared" si="1"/>
        <v>4.7569599999999999E-5</v>
      </c>
      <c r="N25" s="16">
        <f t="shared" si="1"/>
        <v>5.2879E-5</v>
      </c>
      <c r="O25" s="16">
        <f t="shared" si="1"/>
        <v>2.2265499999999999E-5</v>
      </c>
      <c r="P25" s="16">
        <f t="shared" si="1"/>
        <v>4.6284599000000004E-3</v>
      </c>
      <c r="Q25" s="16">
        <f t="shared" si="1"/>
        <v>9.5325999999999987E-3</v>
      </c>
      <c r="R25" s="16">
        <v>16100000000</v>
      </c>
      <c r="S25" s="44" t="s">
        <v>67</v>
      </c>
    </row>
    <row r="26" spans="1:19" s="2" customFormat="1" ht="11.2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9" s="2" customFormat="1" ht="11.25">
      <c r="A27" s="68" t="s">
        <v>57</v>
      </c>
    </row>
    <row r="28" spans="1:19" s="2" customFormat="1" ht="11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45" t="s">
        <v>33</v>
      </c>
    </row>
    <row r="29" spans="1:19" s="2" customFormat="1" ht="11.25">
      <c r="A29" s="14"/>
      <c r="B29" s="45" t="s">
        <v>34</v>
      </c>
      <c r="C29" s="45" t="s">
        <v>17</v>
      </c>
      <c r="D29" s="45" t="s">
        <v>1</v>
      </c>
      <c r="E29" s="45" t="s">
        <v>10</v>
      </c>
      <c r="F29" s="45" t="s">
        <v>2</v>
      </c>
      <c r="G29" s="45" t="s">
        <v>35</v>
      </c>
      <c r="H29" s="45" t="s">
        <v>3</v>
      </c>
      <c r="I29" s="45" t="s">
        <v>4</v>
      </c>
      <c r="J29" s="45" t="s">
        <v>5</v>
      </c>
      <c r="K29" s="45" t="s">
        <v>16</v>
      </c>
      <c r="L29" s="45" t="s">
        <v>6</v>
      </c>
      <c r="M29" s="45" t="s">
        <v>7</v>
      </c>
      <c r="N29" s="45" t="s">
        <v>8</v>
      </c>
      <c r="O29" s="45" t="s">
        <v>9</v>
      </c>
      <c r="P29" s="45" t="s">
        <v>36</v>
      </c>
      <c r="Q29" s="45" t="s">
        <v>37</v>
      </c>
      <c r="R29" s="45" t="s">
        <v>38</v>
      </c>
    </row>
    <row r="30" spans="1:19" s="2" customFormat="1" ht="11.25">
      <c r="A30" s="68" t="s">
        <v>47</v>
      </c>
      <c r="B30" s="69">
        <v>0.36699999999999999</v>
      </c>
      <c r="C30" s="15"/>
      <c r="D30" s="15">
        <v>0</v>
      </c>
      <c r="E30" s="15"/>
      <c r="F30" s="15"/>
      <c r="G30" s="70">
        <v>0</v>
      </c>
      <c r="H30" s="15"/>
      <c r="I30" s="15"/>
      <c r="J30" s="15"/>
      <c r="K30" s="71"/>
      <c r="L30" s="15"/>
      <c r="M30" s="71"/>
      <c r="N30" s="71"/>
      <c r="O30" s="71"/>
      <c r="P30" s="15">
        <v>0</v>
      </c>
      <c r="Q30" s="15">
        <v>1.8799999999999999E-3</v>
      </c>
      <c r="R30" s="17">
        <v>836000000</v>
      </c>
      <c r="S30" s="18"/>
    </row>
    <row r="31" spans="1:19" s="2" customFormat="1" ht="11.25">
      <c r="A31" s="72" t="s">
        <v>48</v>
      </c>
      <c r="B31" s="73">
        <v>202</v>
      </c>
      <c r="C31" s="67"/>
      <c r="D31" s="67"/>
      <c r="E31" s="67"/>
      <c r="F31" s="67"/>
      <c r="G31" s="74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49">
        <v>14900000000</v>
      </c>
      <c r="S31" s="18"/>
    </row>
    <row r="32" spans="1:19" s="2" customFormat="1" ht="11.25">
      <c r="A32" s="68" t="s">
        <v>49</v>
      </c>
      <c r="B32" s="75">
        <v>4.05</v>
      </c>
      <c r="C32" s="19"/>
      <c r="D32" s="76">
        <v>0</v>
      </c>
      <c r="E32" s="19"/>
      <c r="F32" s="19"/>
      <c r="G32" s="15">
        <v>0</v>
      </c>
      <c r="H32" s="19"/>
      <c r="I32" s="19"/>
      <c r="J32" s="19"/>
      <c r="K32" s="19"/>
      <c r="L32" s="19"/>
      <c r="M32" s="19"/>
      <c r="N32" s="19"/>
      <c r="O32" s="19"/>
      <c r="P32" s="76">
        <v>0</v>
      </c>
      <c r="Q32" s="76">
        <v>2.7099999999999999E-2</v>
      </c>
      <c r="R32" s="17">
        <v>13500000000</v>
      </c>
      <c r="S32" s="18"/>
    </row>
    <row r="33" spans="1:19" s="2" customFormat="1" ht="11.25">
      <c r="A33" s="72" t="s">
        <v>50</v>
      </c>
      <c r="B33" s="77">
        <v>35.1</v>
      </c>
      <c r="C33" s="67"/>
      <c r="D33" s="78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78"/>
      <c r="Q33" s="78"/>
      <c r="R33" s="49">
        <v>16700000000</v>
      </c>
      <c r="S33" s="18"/>
    </row>
    <row r="34" spans="1:19" s="2" customFormat="1" ht="11.25">
      <c r="A34" s="79" t="s">
        <v>13</v>
      </c>
      <c r="B34" s="16">
        <f>B31+B33</f>
        <v>237.1</v>
      </c>
      <c r="C34" s="16"/>
      <c r="D34" s="16">
        <f>SUM(D30:D33)</f>
        <v>0</v>
      </c>
      <c r="E34" s="16"/>
      <c r="F34" s="16"/>
      <c r="G34" s="16">
        <f>SUM(G30:G33)</f>
        <v>0</v>
      </c>
      <c r="H34" s="16"/>
      <c r="I34" s="16"/>
      <c r="J34" s="16"/>
      <c r="K34" s="16"/>
      <c r="L34" s="16"/>
      <c r="M34" s="16"/>
      <c r="N34" s="16"/>
      <c r="O34" s="16"/>
      <c r="P34" s="16">
        <f>SUM(P30:P33)</f>
        <v>0</v>
      </c>
      <c r="Q34" s="16">
        <f>SUM(Q30:Q33)</f>
        <v>2.8979999999999999E-2</v>
      </c>
      <c r="R34" s="16">
        <f>R31+R33</f>
        <v>31600000000</v>
      </c>
      <c r="S34" s="16"/>
    </row>
    <row r="35" spans="1:19" s="2" customFormat="1" ht="11.2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9" s="2" customFormat="1" ht="11.25">
      <c r="A36" s="68" t="s">
        <v>58</v>
      </c>
    </row>
    <row r="37" spans="1:19" s="2" customFormat="1" ht="11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  <c r="R37" s="45" t="s">
        <v>33</v>
      </c>
    </row>
    <row r="38" spans="1:19" s="2" customFormat="1" ht="11.25">
      <c r="A38" s="14"/>
      <c r="B38" s="45" t="s">
        <v>34</v>
      </c>
      <c r="C38" s="45" t="s">
        <v>17</v>
      </c>
      <c r="D38" s="45" t="s">
        <v>1</v>
      </c>
      <c r="E38" s="45" t="s">
        <v>10</v>
      </c>
      <c r="F38" s="45" t="s">
        <v>2</v>
      </c>
      <c r="G38" s="45" t="s">
        <v>35</v>
      </c>
      <c r="H38" s="45" t="s">
        <v>3</v>
      </c>
      <c r="I38" s="45" t="s">
        <v>4</v>
      </c>
      <c r="J38" s="45" t="s">
        <v>5</v>
      </c>
      <c r="K38" s="45" t="s">
        <v>16</v>
      </c>
      <c r="L38" s="45" t="s">
        <v>6</v>
      </c>
      <c r="M38" s="45" t="s">
        <v>7</v>
      </c>
      <c r="N38" s="45" t="s">
        <v>8</v>
      </c>
      <c r="O38" s="45" t="s">
        <v>9</v>
      </c>
      <c r="P38" s="45" t="s">
        <v>36</v>
      </c>
      <c r="Q38" s="45" t="s">
        <v>37</v>
      </c>
      <c r="R38" s="45" t="s">
        <v>38</v>
      </c>
    </row>
    <row r="39" spans="1:19" s="2" customFormat="1" ht="11.25">
      <c r="A39" s="68" t="s">
        <v>51</v>
      </c>
      <c r="B39" s="17">
        <v>81.3</v>
      </c>
      <c r="C39" s="19"/>
      <c r="D39" s="17"/>
      <c r="E39" s="19"/>
      <c r="F39" s="19"/>
      <c r="G39" s="15">
        <v>0</v>
      </c>
      <c r="H39" s="15"/>
      <c r="I39" s="15"/>
      <c r="J39" s="15"/>
      <c r="K39" s="15"/>
      <c r="L39" s="15"/>
      <c r="M39" s="19"/>
      <c r="N39" s="19"/>
      <c r="O39" s="19"/>
      <c r="P39" s="18"/>
      <c r="Q39" s="18"/>
      <c r="R39" s="31">
        <v>38400000000</v>
      </c>
      <c r="S39" s="18"/>
    </row>
    <row r="40" spans="1:19" s="2" customFormat="1" ht="11.25">
      <c r="A40" s="79" t="s">
        <v>13</v>
      </c>
      <c r="B40" s="80">
        <f>B39</f>
        <v>81.3</v>
      </c>
      <c r="C40" s="80"/>
      <c r="D40" s="80"/>
      <c r="E40" s="80"/>
      <c r="F40" s="80"/>
      <c r="G40" s="80">
        <f>G39</f>
        <v>0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16">
        <f>R39</f>
        <v>38400000000</v>
      </c>
      <c r="S40" s="44"/>
    </row>
    <row r="43" spans="1:19">
      <c r="J43" s="19"/>
    </row>
  </sheetData>
  <customSheetViews>
    <customSheetView guid="{3F1948D3-7A77-49FA-8683-88C42F48218E}" showPageBreaks="1" fitToPage="1">
      <selection activeCell="G46" sqref="G46"/>
      <pageMargins left="0.18" right="0.17" top="0.75" bottom="0.75" header="0.3" footer="0.3"/>
      <pageSetup scale="78" fitToHeight="0" orientation="landscape" r:id="rId1"/>
    </customSheetView>
    <customSheetView guid="{18171B3D-97D9-4E22-AFC9-A8C0E28D5DD4}" fitToPage="1">
      <selection activeCell="F37" sqref="F37"/>
      <pageMargins left="0.7" right="0.7" top="0.75" bottom="0.75" header="0.3" footer="0.3"/>
      <pageSetup scale="70" fitToHeight="0" orientation="landscape" r:id="rId2"/>
    </customSheetView>
    <customSheetView guid="{5FA20952-9BBD-44D2-970E-DA7EA3E10244}" showPageBreaks="1" fitToPage="1">
      <selection activeCell="F37" sqref="F37"/>
      <pageMargins left="0.7" right="0.7" top="0.75" bottom="0.75" header="0.3" footer="0.3"/>
      <pageSetup scale="70" fitToHeight="0" orientation="landscape" r:id="rId3"/>
    </customSheetView>
    <customSheetView guid="{70E017E5-BB13-4673-A7AD-6B6A9E1D5706}" topLeftCell="A8">
      <selection activeCell="A43" sqref="A43"/>
      <pageMargins left="0.7" right="0.7" top="0.75" bottom="0.75" header="0.3" footer="0.3"/>
    </customSheetView>
  </customSheetViews>
  <pageMargins left="0.18" right="0.17" top="0.75" bottom="0.75" header="0.3" footer="0.3"/>
  <pageSetup scale="78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data table 6-7</vt:lpstr>
      <vt:lpstr>6-7 Backup data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Herbert Carlton</dc:creator>
  <cp:lastModifiedBy>Lori Coward</cp:lastModifiedBy>
  <cp:lastPrinted>2014-07-14T20:05:08Z</cp:lastPrinted>
  <dcterms:created xsi:type="dcterms:W3CDTF">2004-03-04T21:34:26Z</dcterms:created>
  <dcterms:modified xsi:type="dcterms:W3CDTF">2014-07-14T20:05:20Z</dcterms:modified>
</cp:coreProperties>
</file>